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ata\04_LUCRU general\112. Ploiesti\parc Vest\00_WORKING DOC\"/>
    </mc:Choice>
  </mc:AlternateContent>
  <xr:revisionPtr revIDLastSave="0" documentId="13_ncr:1_{64F3AF98-FD3A-42FE-872E-0FFD07295B50}" xr6:coauthVersionLast="47" xr6:coauthVersionMax="47" xr10:uidLastSave="{00000000-0000-0000-0000-000000000000}"/>
  <bookViews>
    <workbookView xWindow="-28260" yWindow="9300" windowWidth="34350" windowHeight="15120" xr2:uid="{77DA9E41-37A0-4B55-BF8D-87FD07371EAB}"/>
  </bookViews>
  <sheets>
    <sheet name="Sheet1" sheetId="1" r:id="rId1"/>
  </sheets>
  <definedNames>
    <definedName name="_xlnm.Print_Area" localSheetId="0">Sheet1!$A$1:$Q$40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8" i="1" l="1"/>
  <c r="W11" i="1"/>
  <c r="W10" i="1"/>
  <c r="W9" i="1"/>
  <c r="X11" i="1"/>
  <c r="X10" i="1"/>
  <c r="X9" i="1"/>
  <c r="W12" i="1"/>
  <c r="V8" i="1"/>
  <c r="S11" i="1"/>
  <c r="S10" i="1"/>
  <c r="U13" i="1"/>
  <c r="U7" i="1"/>
  <c r="U11" i="1"/>
  <c r="U10" i="1"/>
  <c r="U9" i="1"/>
  <c r="U8" i="1"/>
  <c r="S13" i="1"/>
  <c r="S7" i="1"/>
  <c r="Q13" i="1"/>
  <c r="R13" i="1"/>
  <c r="X22" i="1"/>
  <c r="E32" i="1"/>
  <c r="X20" i="1"/>
  <c r="Q11" i="1"/>
  <c r="Q10" i="1"/>
  <c r="Q9" i="1"/>
  <c r="Q8" i="1"/>
  <c r="P13" i="1"/>
  <c r="P11" i="1"/>
  <c r="P10" i="1"/>
  <c r="P9" i="1"/>
  <c r="P8" i="1"/>
  <c r="P7" i="1"/>
  <c r="M17" i="1"/>
  <c r="X18" i="1"/>
  <c r="Y16" i="1"/>
  <c r="Y18" i="1" s="1"/>
  <c r="X16" i="1"/>
  <c r="Y15" i="1"/>
  <c r="X15" i="1"/>
  <c r="Y14" i="1"/>
  <c r="G23" i="1"/>
  <c r="G25" i="1"/>
  <c r="F25" i="1"/>
  <c r="E25" i="1"/>
  <c r="G28" i="1"/>
  <c r="F26" i="1"/>
  <c r="E26" i="1"/>
  <c r="F24" i="1"/>
  <c r="E24" i="1"/>
  <c r="F28" i="1"/>
  <c r="G27" i="1"/>
  <c r="F27" i="1"/>
  <c r="E27" i="1"/>
  <c r="E28" i="1"/>
  <c r="G24" i="1"/>
  <c r="G31" i="1"/>
  <c r="G29" i="1"/>
  <c r="F29" i="1"/>
  <c r="E29" i="1"/>
  <c r="F23" i="1"/>
  <c r="G17" i="1"/>
  <c r="E17" i="1"/>
  <c r="E15" i="1"/>
  <c r="E18" i="1"/>
  <c r="G19" i="1"/>
  <c r="G21" i="1" s="1"/>
  <c r="I40" i="1"/>
  <c r="I35" i="1"/>
  <c r="I33" i="1"/>
  <c r="E9" i="1"/>
  <c r="E7" i="1"/>
  <c r="E10" i="1"/>
  <c r="G11" i="1"/>
  <c r="E11" i="1"/>
  <c r="I31" i="1"/>
  <c r="I21" i="1"/>
  <c r="I13" i="1"/>
  <c r="H31" i="1"/>
  <c r="H21" i="1"/>
  <c r="F21" i="1"/>
  <c r="H13" i="1"/>
  <c r="G13" i="1"/>
  <c r="F13" i="1"/>
  <c r="I29" i="1"/>
  <c r="I28" i="1"/>
  <c r="I27" i="1"/>
  <c r="I26" i="1"/>
  <c r="I24" i="1"/>
  <c r="I23" i="1"/>
  <c r="I18" i="1"/>
  <c r="M10" i="1"/>
  <c r="N10" i="1" s="1"/>
  <c r="M11" i="1"/>
  <c r="N11" i="1" s="1"/>
  <c r="O12" i="1"/>
  <c r="F30" i="1"/>
  <c r="E30" i="1"/>
  <c r="D6" i="1"/>
  <c r="D14" i="1"/>
  <c r="D22" i="1"/>
  <c r="G26" i="1"/>
  <c r="E23" i="1"/>
  <c r="X12" i="1" l="1"/>
  <c r="E31" i="1"/>
  <c r="N9" i="1"/>
  <c r="M9" i="1"/>
  <c r="L12" i="1"/>
  <c r="M8" i="1"/>
  <c r="M12" i="1" s="1"/>
  <c r="N8" i="1"/>
  <c r="N12" i="1" s="1"/>
  <c r="D33" i="1"/>
  <c r="H5" i="1"/>
  <c r="G5" i="1"/>
  <c r="F5" i="1"/>
  <c r="E12" i="1"/>
  <c r="E19" i="1"/>
  <c r="I8" i="1"/>
  <c r="L13" i="1" l="1"/>
  <c r="M16" i="1"/>
  <c r="O16" i="1" s="1"/>
  <c r="O17" i="1" s="1"/>
  <c r="E16" i="1"/>
  <c r="E21" i="1"/>
  <c r="E8" i="1"/>
  <c r="E13" i="1" s="1"/>
  <c r="F31" i="1"/>
  <c r="I25" i="1"/>
  <c r="D34" i="1"/>
  <c r="I37" i="1" s="1"/>
  <c r="I19" i="1"/>
  <c r="I17" i="1"/>
  <c r="I16" i="1"/>
  <c r="I15" i="1"/>
  <c r="I11" i="1"/>
  <c r="I10" i="1"/>
  <c r="I9" i="1"/>
  <c r="I7" i="1"/>
  <c r="I34" i="1" l="1"/>
</calcChain>
</file>

<file path=xl/sharedStrings.xml><?xml version="1.0" encoding="utf-8"?>
<sst xmlns="http://schemas.openxmlformats.org/spreadsheetml/2006/main" count="95" uniqueCount="65">
  <si>
    <t>PLOIESTI VEST - APARTAMENTE</t>
  </si>
  <si>
    <t>PARTER</t>
  </si>
  <si>
    <t>SUPRAFTA UTILA</t>
  </si>
  <si>
    <t>SUPRAFTA CONSTRUITA</t>
  </si>
  <si>
    <t>SUPRAFTA CURTE</t>
  </si>
  <si>
    <t>TIP APARTAMENT</t>
  </si>
  <si>
    <t>NUMAR AP./NIVEL</t>
  </si>
  <si>
    <t>Nr. CAMERE</t>
  </si>
  <si>
    <t>2 camere</t>
  </si>
  <si>
    <t>3 camere</t>
  </si>
  <si>
    <t>ETAJ 1</t>
  </si>
  <si>
    <t>DUPLEX - etaj 2 si 3</t>
  </si>
  <si>
    <t>Total ap. / teren</t>
  </si>
  <si>
    <t>Total ap. / 1 bloc</t>
  </si>
  <si>
    <t>subsol</t>
  </si>
  <si>
    <t>sol</t>
  </si>
  <si>
    <t>1 bloc</t>
  </si>
  <si>
    <t>3 blocuri</t>
  </si>
  <si>
    <t>bloc 1</t>
  </si>
  <si>
    <t>bloc 2</t>
  </si>
  <si>
    <t>bloc 3</t>
  </si>
  <si>
    <t>agrement</t>
  </si>
  <si>
    <t>scd</t>
  </si>
  <si>
    <t>proiect</t>
  </si>
  <si>
    <t>cf CU</t>
  </si>
  <si>
    <t>DUPLEX - NIVEL 1</t>
  </si>
  <si>
    <t>DUPLEX - NIVEL 2</t>
  </si>
  <si>
    <t>SUBSOL</t>
  </si>
  <si>
    <t>SCD</t>
  </si>
  <si>
    <t>SD</t>
  </si>
  <si>
    <t>TEREN</t>
  </si>
  <si>
    <t>PARC VEST</t>
  </si>
  <si>
    <t>CUT</t>
  </si>
  <si>
    <t>POT</t>
  </si>
  <si>
    <t>TIP 2d1-D</t>
  </si>
  <si>
    <t>COMUN</t>
  </si>
  <si>
    <t>NR. PERS.</t>
  </si>
  <si>
    <t>mp</t>
  </si>
  <si>
    <t>TIP 2d2-D</t>
  </si>
  <si>
    <t>TIP 3b1-D</t>
  </si>
  <si>
    <t>TIP 3a</t>
  </si>
  <si>
    <t>TIP 2c</t>
  </si>
  <si>
    <t>TIP 2b</t>
  </si>
  <si>
    <t>TIP 2a2</t>
  </si>
  <si>
    <t>TIP 2a1</t>
  </si>
  <si>
    <t>TIP 3c1-D</t>
  </si>
  <si>
    <t>TIP 3c2-D</t>
  </si>
  <si>
    <t>4 camere</t>
  </si>
  <si>
    <t>TIP 4a-D</t>
  </si>
  <si>
    <t>PROPUS ALA</t>
  </si>
  <si>
    <t>PROPUS PARCARI</t>
  </si>
  <si>
    <t xml:space="preserve">TOTAL </t>
  </si>
  <si>
    <t>SUPRAFTA UTILA BALCON /TEARSA</t>
  </si>
  <si>
    <t>total</t>
  </si>
  <si>
    <t>NECESAR PARCARI BLOCURI</t>
  </si>
  <si>
    <t>TIP 3b2-D</t>
  </si>
  <si>
    <t>NECESAR ALA blocuri</t>
  </si>
  <si>
    <t>verde</t>
  </si>
  <si>
    <t>construit</t>
  </si>
  <si>
    <t>rest</t>
  </si>
  <si>
    <t>TOTAL</t>
  </si>
  <si>
    <t>bloc</t>
  </si>
  <si>
    <t>vi</t>
  </si>
  <si>
    <t>SC+T</t>
  </si>
  <si>
    <t>VI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</si>
</sst>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8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9" tint="0.79998168889431442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/>
      <bottom style="medium">
        <color rgb="FF000000"/>
      </bottom>
      <diagonal/>
    </border>
  </borders>
  <cellStyleXfs count="1">
    <xf numFmtId="0" fontId="0" fillId="0" borderId="0"/>
  </cellStyleXfs>
  <cellXfs count="147">
    <xf numFmtId="0" fontId="0" fillId="0" borderId="0" xfId="0"/>
    <xf numFmtId="0" fontId="0" fillId="3" borderId="2" xfId="0" applyFill="1" applyBorder="1"/>
    <xf numFmtId="0" fontId="2" fillId="3" borderId="1" xfId="0" applyFont="1" applyFill="1" applyBorder="1"/>
    <xf numFmtId="0" fontId="0" fillId="3" borderId="1" xfId="0" applyFill="1" applyBorder="1" applyAlignment="1">
      <alignment horizontal="center"/>
    </xf>
    <xf numFmtId="4" fontId="0" fillId="3" borderId="1" xfId="0" applyNumberFormat="1" applyFill="1" applyBorder="1" applyAlignment="1">
      <alignment horizontal="center"/>
    </xf>
    <xf numFmtId="4" fontId="0" fillId="3" borderId="3" xfId="0" applyNumberFormat="1" applyFill="1" applyBorder="1" applyAlignment="1">
      <alignment horizontal="center"/>
    </xf>
    <xf numFmtId="0" fontId="1" fillId="4" borderId="6" xfId="0" applyFont="1" applyFill="1" applyBorder="1"/>
    <xf numFmtId="0" fontId="1" fillId="4" borderId="7" xfId="0" applyFont="1" applyFill="1" applyBorder="1"/>
    <xf numFmtId="0" fontId="1" fillId="4" borderId="8" xfId="0" applyFont="1" applyFill="1" applyBorder="1"/>
    <xf numFmtId="0" fontId="1" fillId="4" borderId="9" xfId="0" applyFont="1" applyFill="1" applyBorder="1"/>
    <xf numFmtId="0" fontId="1" fillId="4" borderId="10" xfId="0" applyFont="1" applyFill="1" applyBorder="1"/>
    <xf numFmtId="0" fontId="1" fillId="4" borderId="10" xfId="0" applyFont="1" applyFill="1" applyBorder="1" applyAlignment="1">
      <alignment horizontal="center"/>
    </xf>
    <xf numFmtId="4" fontId="1" fillId="4" borderId="10" xfId="0" applyNumberFormat="1" applyFont="1" applyFill="1" applyBorder="1" applyAlignment="1">
      <alignment horizontal="center"/>
    </xf>
    <xf numFmtId="4" fontId="1" fillId="4" borderId="11" xfId="0" applyNumberFormat="1" applyFont="1" applyFill="1" applyBorder="1" applyAlignment="1">
      <alignment horizontal="center"/>
    </xf>
    <xf numFmtId="0" fontId="0" fillId="0" borderId="0" xfId="0" applyFill="1" applyBorder="1"/>
    <xf numFmtId="0" fontId="0" fillId="0" borderId="0" xfId="0" applyFill="1"/>
    <xf numFmtId="0" fontId="0" fillId="0" borderId="0" xfId="0" applyFill="1" applyAlignment="1">
      <alignment horizontal="center"/>
    </xf>
    <xf numFmtId="0" fontId="1" fillId="0" borderId="0" xfId="0" applyFont="1" applyFill="1" applyBorder="1"/>
    <xf numFmtId="0" fontId="1" fillId="0" borderId="0" xfId="0" applyFont="1"/>
    <xf numFmtId="0" fontId="1" fillId="0" borderId="0" xfId="0" applyFont="1" applyAlignment="1">
      <alignment horizontal="center"/>
    </xf>
    <xf numFmtId="10" fontId="0" fillId="0" borderId="0" xfId="0" applyNumberFormat="1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2" borderId="8" xfId="0" applyFill="1" applyBorder="1" applyAlignment="1">
      <alignment horizontal="center"/>
    </xf>
    <xf numFmtId="0" fontId="0" fillId="2" borderId="7" xfId="0" applyFill="1" applyBorder="1"/>
    <xf numFmtId="0" fontId="0" fillId="2" borderId="8" xfId="0" applyFill="1" applyBorder="1"/>
    <xf numFmtId="0" fontId="0" fillId="4" borderId="8" xfId="0" applyFill="1" applyBorder="1"/>
    <xf numFmtId="0" fontId="1" fillId="5" borderId="6" xfId="0" applyFont="1" applyFill="1" applyBorder="1" applyAlignment="1">
      <alignment horizontal="center"/>
    </xf>
    <xf numFmtId="0" fontId="1" fillId="5" borderId="7" xfId="0" applyFont="1" applyFill="1" applyBorder="1" applyAlignment="1">
      <alignment horizontal="center"/>
    </xf>
    <xf numFmtId="0" fontId="1" fillId="5" borderId="8" xfId="0" applyFont="1" applyFill="1" applyBorder="1" applyAlignment="1">
      <alignment horizontal="center"/>
    </xf>
    <xf numFmtId="0" fontId="1" fillId="5" borderId="6" xfId="0" applyFont="1" applyFill="1" applyBorder="1"/>
    <xf numFmtId="0" fontId="0" fillId="2" borderId="6" xfId="0" applyFill="1" applyBorder="1"/>
    <xf numFmtId="0" fontId="0" fillId="0" borderId="13" xfId="0" applyBorder="1"/>
    <xf numFmtId="0" fontId="0" fillId="0" borderId="9" xfId="0" applyBorder="1" applyAlignment="1">
      <alignment horizontal="right"/>
    </xf>
    <xf numFmtId="0" fontId="0" fillId="0" borderId="10" xfId="0" applyBorder="1" applyAlignment="1">
      <alignment horizontal="left"/>
    </xf>
    <xf numFmtId="0" fontId="0" fillId="0" borderId="11" xfId="0" applyBorder="1"/>
    <xf numFmtId="0" fontId="0" fillId="0" borderId="14" xfId="0" applyBorder="1"/>
    <xf numFmtId="0" fontId="0" fillId="0" borderId="15" xfId="0" applyBorder="1"/>
    <xf numFmtId="0" fontId="1" fillId="0" borderId="9" xfId="0" applyFont="1" applyBorder="1"/>
    <xf numFmtId="0" fontId="1" fillId="0" borderId="10" xfId="0" applyFont="1" applyBorder="1" applyAlignment="1">
      <alignment horizontal="right"/>
    </xf>
    <xf numFmtId="2" fontId="1" fillId="0" borderId="11" xfId="0" applyNumberFormat="1" applyFont="1" applyBorder="1" applyAlignment="1">
      <alignment horizontal="left"/>
    </xf>
    <xf numFmtId="0" fontId="1" fillId="0" borderId="13" xfId="0" applyFont="1" applyBorder="1"/>
    <xf numFmtId="0" fontId="1" fillId="0" borderId="14" xfId="0" applyFont="1" applyBorder="1" applyAlignment="1">
      <alignment horizontal="right"/>
    </xf>
    <xf numFmtId="10" fontId="1" fillId="0" borderId="15" xfId="0" applyNumberFormat="1" applyFont="1" applyBorder="1" applyAlignment="1">
      <alignment horizontal="left"/>
    </xf>
    <xf numFmtId="2" fontId="0" fillId="2" borderId="6" xfId="0" applyNumberFormat="1" applyFill="1" applyBorder="1"/>
    <xf numFmtId="0" fontId="0" fillId="6" borderId="2" xfId="0" applyFill="1" applyBorder="1"/>
    <xf numFmtId="0" fontId="2" fillId="6" borderId="1" xfId="0" applyFont="1" applyFill="1" applyBorder="1"/>
    <xf numFmtId="0" fontId="0" fillId="6" borderId="1" xfId="0" applyFill="1" applyBorder="1" applyAlignment="1">
      <alignment horizontal="center"/>
    </xf>
    <xf numFmtId="4" fontId="0" fillId="6" borderId="1" xfId="0" applyNumberFormat="1" applyFill="1" applyBorder="1" applyAlignment="1">
      <alignment horizontal="center"/>
    </xf>
    <xf numFmtId="4" fontId="0" fillId="6" borderId="3" xfId="0" applyNumberFormat="1" applyFill="1" applyBorder="1" applyAlignment="1">
      <alignment horizontal="center"/>
    </xf>
    <xf numFmtId="0" fontId="0" fillId="0" borderId="22" xfId="0" applyBorder="1"/>
    <xf numFmtId="0" fontId="0" fillId="0" borderId="23" xfId="0" applyBorder="1"/>
    <xf numFmtId="0" fontId="0" fillId="0" borderId="24" xfId="0" applyBorder="1"/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/>
    </xf>
    <xf numFmtId="0" fontId="0" fillId="0" borderId="0" xfId="0" applyBorder="1"/>
    <xf numFmtId="4" fontId="0" fillId="3" borderId="29" xfId="0" applyNumberFormat="1" applyFill="1" applyBorder="1" applyAlignment="1">
      <alignment horizontal="center"/>
    </xf>
    <xf numFmtId="4" fontId="0" fillId="6" borderId="29" xfId="0" applyNumberFormat="1" applyFill="1" applyBorder="1" applyAlignment="1">
      <alignment horizontal="center"/>
    </xf>
    <xf numFmtId="0" fontId="0" fillId="7" borderId="16" xfId="0" applyFill="1" applyBorder="1"/>
    <xf numFmtId="0" fontId="2" fillId="7" borderId="17" xfId="0" applyFont="1" applyFill="1" applyBorder="1"/>
    <xf numFmtId="0" fontId="0" fillId="7" borderId="17" xfId="0" applyFill="1" applyBorder="1" applyAlignment="1">
      <alignment horizontal="center"/>
    </xf>
    <xf numFmtId="4" fontId="0" fillId="7" borderId="17" xfId="0" applyNumberFormat="1" applyFill="1" applyBorder="1" applyAlignment="1">
      <alignment horizontal="center"/>
    </xf>
    <xf numFmtId="4" fontId="0" fillId="7" borderId="28" xfId="0" applyNumberFormat="1" applyFill="1" applyBorder="1" applyAlignment="1">
      <alignment horizontal="center"/>
    </xf>
    <xf numFmtId="0" fontId="0" fillId="7" borderId="2" xfId="0" applyFill="1" applyBorder="1"/>
    <xf numFmtId="0" fontId="2" fillId="7" borderId="1" xfId="0" applyFont="1" applyFill="1" applyBorder="1"/>
    <xf numFmtId="0" fontId="0" fillId="7" borderId="1" xfId="0" applyFill="1" applyBorder="1" applyAlignment="1">
      <alignment horizontal="center"/>
    </xf>
    <xf numFmtId="4" fontId="0" fillId="7" borderId="1" xfId="0" applyNumberFormat="1" applyFill="1" applyBorder="1" applyAlignment="1">
      <alignment horizontal="center"/>
    </xf>
    <xf numFmtId="4" fontId="0" fillId="7" borderId="29" xfId="0" applyNumberFormat="1" applyFill="1" applyBorder="1" applyAlignment="1">
      <alignment horizontal="center"/>
    </xf>
    <xf numFmtId="4" fontId="0" fillId="7" borderId="18" xfId="0" applyNumberFormat="1" applyFill="1" applyBorder="1" applyAlignment="1">
      <alignment horizontal="center"/>
    </xf>
    <xf numFmtId="4" fontId="0" fillId="7" borderId="3" xfId="0" applyNumberFormat="1" applyFill="1" applyBorder="1" applyAlignment="1">
      <alignment horizontal="center"/>
    </xf>
    <xf numFmtId="0" fontId="1" fillId="4" borderId="7" xfId="0" applyFont="1" applyFill="1" applyBorder="1" applyAlignment="1">
      <alignment horizontal="center" vertical="center"/>
    </xf>
    <xf numFmtId="0" fontId="0" fillId="8" borderId="2" xfId="0" applyFill="1" applyBorder="1"/>
    <xf numFmtId="0" fontId="2" fillId="8" borderId="1" xfId="0" applyFont="1" applyFill="1" applyBorder="1"/>
    <xf numFmtId="0" fontId="0" fillId="8" borderId="1" xfId="0" applyFill="1" applyBorder="1" applyAlignment="1">
      <alignment horizontal="center"/>
    </xf>
    <xf numFmtId="4" fontId="0" fillId="8" borderId="1" xfId="0" applyNumberFormat="1" applyFill="1" applyBorder="1" applyAlignment="1">
      <alignment horizontal="center"/>
    </xf>
    <xf numFmtId="4" fontId="0" fillId="8" borderId="29" xfId="0" applyNumberFormat="1" applyFill="1" applyBorder="1" applyAlignment="1">
      <alignment horizontal="center"/>
    </xf>
    <xf numFmtId="0" fontId="0" fillId="0" borderId="10" xfId="0" applyBorder="1" applyAlignment="1">
      <alignment horizontal="right"/>
    </xf>
    <xf numFmtId="0" fontId="0" fillId="0" borderId="11" xfId="0" applyFill="1" applyBorder="1" applyAlignment="1">
      <alignment horizontal="right" vertic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right"/>
    </xf>
    <xf numFmtId="0" fontId="0" fillId="0" borderId="15" xfId="0" applyBorder="1" applyAlignment="1">
      <alignment horizontal="right" vertical="center"/>
    </xf>
    <xf numFmtId="0" fontId="0" fillId="0" borderId="20" xfId="0" applyBorder="1"/>
    <xf numFmtId="1" fontId="0" fillId="0" borderId="15" xfId="0" applyNumberFormat="1" applyBorder="1"/>
    <xf numFmtId="1" fontId="0" fillId="0" borderId="8" xfId="0" applyNumberFormat="1" applyBorder="1"/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4" fontId="0" fillId="0" borderId="0" xfId="0" applyNumberFormat="1"/>
    <xf numFmtId="0" fontId="0" fillId="6" borderId="19" xfId="0" applyFill="1" applyBorder="1"/>
    <xf numFmtId="0" fontId="2" fillId="6" borderId="0" xfId="0" applyFont="1" applyFill="1" applyBorder="1"/>
    <xf numFmtId="0" fontId="0" fillId="6" borderId="0" xfId="0" applyFill="1" applyBorder="1" applyAlignment="1">
      <alignment horizontal="center"/>
    </xf>
    <xf numFmtId="4" fontId="0" fillId="6" borderId="0" xfId="0" applyNumberFormat="1" applyFill="1" applyBorder="1" applyAlignment="1">
      <alignment horizontal="center"/>
    </xf>
    <xf numFmtId="4" fontId="0" fillId="2" borderId="6" xfId="0" applyNumberFormat="1" applyFill="1" applyBorder="1"/>
    <xf numFmtId="0" fontId="1" fillId="0" borderId="0" xfId="0" applyFont="1" applyBorder="1"/>
    <xf numFmtId="0" fontId="1" fillId="0" borderId="0" xfId="0" applyFont="1" applyBorder="1" applyAlignment="1">
      <alignment horizontal="right"/>
    </xf>
    <xf numFmtId="10" fontId="1" fillId="0" borderId="0" xfId="0" applyNumberFormat="1" applyFont="1" applyBorder="1" applyAlignment="1">
      <alignment horizontal="left"/>
    </xf>
    <xf numFmtId="0" fontId="0" fillId="6" borderId="26" xfId="0" applyFill="1" applyBorder="1"/>
    <xf numFmtId="0" fontId="2" fillId="6" borderId="27" xfId="0" applyFont="1" applyFill="1" applyBorder="1"/>
    <xf numFmtId="0" fontId="0" fillId="6" borderId="27" xfId="0" applyFill="1" applyBorder="1" applyAlignment="1">
      <alignment horizontal="center"/>
    </xf>
    <xf numFmtId="4" fontId="0" fillId="6" borderId="27" xfId="0" applyNumberFormat="1" applyFill="1" applyBorder="1" applyAlignment="1">
      <alignment horizontal="center"/>
    </xf>
    <xf numFmtId="4" fontId="0" fillId="6" borderId="30" xfId="0" applyNumberFormat="1" applyFill="1" applyBorder="1" applyAlignment="1">
      <alignment horizontal="center"/>
    </xf>
    <xf numFmtId="0" fontId="0" fillId="6" borderId="31" xfId="0" applyFill="1" applyBorder="1"/>
    <xf numFmtId="0" fontId="2" fillId="6" borderId="32" xfId="0" applyFont="1" applyFill="1" applyBorder="1"/>
    <xf numFmtId="0" fontId="0" fillId="6" borderId="32" xfId="0" applyFill="1" applyBorder="1" applyAlignment="1">
      <alignment horizontal="center"/>
    </xf>
    <xf numFmtId="4" fontId="0" fillId="6" borderId="32" xfId="0" applyNumberFormat="1" applyFill="1" applyBorder="1" applyAlignment="1">
      <alignment horizontal="center"/>
    </xf>
    <xf numFmtId="0" fontId="0" fillId="0" borderId="6" xfId="0" applyFill="1" applyBorder="1"/>
    <xf numFmtId="0" fontId="2" fillId="4" borderId="6" xfId="0" applyFont="1" applyFill="1" applyBorder="1" applyAlignment="1">
      <alignment horizontal="center" wrapText="1"/>
    </xf>
    <xf numFmtId="0" fontId="2" fillId="4" borderId="7" xfId="0" applyFont="1" applyFill="1" applyBorder="1" applyAlignment="1">
      <alignment horizontal="center" wrapText="1"/>
    </xf>
    <xf numFmtId="0" fontId="2" fillId="4" borderId="8" xfId="0" applyFont="1" applyFill="1" applyBorder="1" applyAlignment="1">
      <alignment horizontal="center" wrapText="1"/>
    </xf>
    <xf numFmtId="0" fontId="0" fillId="0" borderId="16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2" fontId="0" fillId="2" borderId="7" xfId="0" applyNumberFormat="1" applyFill="1" applyBorder="1"/>
    <xf numFmtId="2" fontId="0" fillId="0" borderId="0" xfId="0" applyNumberFormat="1"/>
    <xf numFmtId="0" fontId="0" fillId="0" borderId="0" xfId="0" applyNumberFormat="1"/>
    <xf numFmtId="0" fontId="1" fillId="5" borderId="21" xfId="0" applyFont="1" applyFill="1" applyBorder="1" applyAlignment="1">
      <alignment horizontal="center"/>
    </xf>
    <xf numFmtId="4" fontId="0" fillId="7" borderId="23" xfId="0" applyNumberFormat="1" applyFill="1" applyBorder="1"/>
    <xf numFmtId="0" fontId="0" fillId="7" borderId="24" xfId="0" applyFill="1" applyBorder="1"/>
    <xf numFmtId="4" fontId="0" fillId="7" borderId="21" xfId="0" applyNumberFormat="1" applyFill="1" applyBorder="1"/>
    <xf numFmtId="0" fontId="0" fillId="7" borderId="23" xfId="0" applyFill="1" applyBorder="1"/>
    <xf numFmtId="0" fontId="1" fillId="5" borderId="6" xfId="0" applyFont="1" applyFill="1" applyBorder="1" applyAlignment="1">
      <alignment horizontal="center"/>
    </xf>
    <xf numFmtId="0" fontId="1" fillId="5" borderId="7" xfId="0" applyFont="1" applyFill="1" applyBorder="1" applyAlignment="1">
      <alignment horizontal="center"/>
    </xf>
    <xf numFmtId="0" fontId="0" fillId="7" borderId="19" xfId="0" applyFill="1" applyBorder="1"/>
    <xf numFmtId="4" fontId="0" fillId="7" borderId="6" xfId="0" applyNumberFormat="1" applyFill="1" applyBorder="1"/>
    <xf numFmtId="4" fontId="0" fillId="7" borderId="19" xfId="0" applyNumberFormat="1" applyFill="1" applyBorder="1"/>
    <xf numFmtId="4" fontId="0" fillId="7" borderId="13" xfId="0" applyNumberFormat="1" applyFill="1" applyBorder="1"/>
    <xf numFmtId="2" fontId="4" fillId="0" borderId="33" xfId="0" applyNumberFormat="1" applyFont="1" applyBorder="1" applyAlignment="1">
      <alignment horizontal="center" vertical="center" wrapText="1"/>
    </xf>
    <xf numFmtId="2" fontId="4" fillId="0" borderId="34" xfId="0" applyNumberFormat="1" applyFont="1" applyBorder="1" applyAlignment="1">
      <alignment horizontal="center" vertical="center" wrapText="1"/>
    </xf>
    <xf numFmtId="2" fontId="4" fillId="0" borderId="35" xfId="0" applyNumberFormat="1" applyFont="1" applyBorder="1" applyAlignment="1">
      <alignment horizontal="center" vertical="center" wrapText="1"/>
    </xf>
    <xf numFmtId="0" fontId="4" fillId="0" borderId="36" xfId="0" applyFont="1" applyBorder="1" applyAlignment="1">
      <alignment horizontal="center" vertical="center" wrapText="1"/>
    </xf>
    <xf numFmtId="0" fontId="5" fillId="0" borderId="13" xfId="0" applyFont="1" applyBorder="1"/>
    <xf numFmtId="2" fontId="5" fillId="0" borderId="15" xfId="0" applyNumberFormat="1" applyFont="1" applyBorder="1"/>
    <xf numFmtId="1" fontId="0" fillId="0" borderId="0" xfId="0" applyNumberFormat="1"/>
    <xf numFmtId="0" fontId="0" fillId="0" borderId="0" xfId="0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3EF4E3-0C8F-46AF-8523-FF1F9A7A8408}">
  <sheetPr>
    <pageSetUpPr fitToPage="1"/>
  </sheetPr>
  <dimension ref="A1:Y40"/>
  <sheetViews>
    <sheetView tabSelected="1" zoomScale="70" zoomScaleNormal="70" workbookViewId="0">
      <selection activeCell="D36" sqref="D36:D37"/>
    </sheetView>
  </sheetViews>
  <sheetFormatPr defaultRowHeight="15" x14ac:dyDescent="0.25"/>
  <cols>
    <col min="2" max="2" width="9.140625" customWidth="1"/>
    <col min="3" max="4" width="14.42578125" customWidth="1"/>
    <col min="5" max="5" width="11.7109375" customWidth="1"/>
    <col min="6" max="6" width="14.140625" customWidth="1"/>
    <col min="7" max="7" width="16.28515625" customWidth="1"/>
    <col min="8" max="8" width="14.85546875" customWidth="1"/>
    <col min="11" max="11" width="16.140625" bestFit="1" customWidth="1"/>
    <col min="12" max="12" width="9.140625" customWidth="1"/>
    <col min="13" max="13" width="11.140625" customWidth="1"/>
    <col min="18" max="18" width="9.5703125" bestFit="1" customWidth="1"/>
    <col min="19" max="19" width="11.7109375" bestFit="1" customWidth="1"/>
    <col min="24" max="24" width="12" customWidth="1"/>
  </cols>
  <sheetData>
    <row r="1" spans="2:25" ht="15.75" thickBot="1" x14ac:dyDescent="0.3"/>
    <row r="2" spans="2:25" ht="15.75" customHeight="1" thickBot="1" x14ac:dyDescent="0.3">
      <c r="B2" s="106" t="s">
        <v>0</v>
      </c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8"/>
    </row>
    <row r="3" spans="2:25" ht="15.75" thickBot="1" x14ac:dyDescent="0.3">
      <c r="C3" s="18"/>
    </row>
    <row r="4" spans="2:25" ht="29.25" customHeight="1" thickBot="1" x14ac:dyDescent="0.3">
      <c r="B4" s="109" t="s">
        <v>7</v>
      </c>
      <c r="C4" s="111" t="s">
        <v>5</v>
      </c>
      <c r="D4" s="111" t="s">
        <v>6</v>
      </c>
      <c r="E4" s="53" t="s">
        <v>2</v>
      </c>
      <c r="F4" s="53" t="s">
        <v>3</v>
      </c>
      <c r="G4" s="53" t="s">
        <v>52</v>
      </c>
      <c r="H4" s="54" t="s">
        <v>4</v>
      </c>
      <c r="I4" s="113" t="s">
        <v>36</v>
      </c>
      <c r="K4" s="6" t="s">
        <v>30</v>
      </c>
      <c r="L4" s="26">
        <v>6538</v>
      </c>
    </row>
    <row r="5" spans="2:25" ht="12.75" customHeight="1" thickBot="1" x14ac:dyDescent="0.3">
      <c r="B5" s="110"/>
      <c r="C5" s="112"/>
      <c r="D5" s="112"/>
      <c r="E5" s="85" t="s">
        <v>37</v>
      </c>
      <c r="F5" s="85" t="str">
        <f>E5</f>
        <v>mp</v>
      </c>
      <c r="G5" s="85" t="str">
        <f>E5</f>
        <v>mp</v>
      </c>
      <c r="H5" s="86" t="str">
        <f>E5</f>
        <v>mp</v>
      </c>
      <c r="I5" s="114"/>
    </row>
    <row r="6" spans="2:25" ht="15.75" thickBot="1" x14ac:dyDescent="0.3">
      <c r="B6" s="6" t="s">
        <v>1</v>
      </c>
      <c r="C6" s="7"/>
      <c r="D6" s="71">
        <f>SUM(D7:D11)</f>
        <v>7</v>
      </c>
      <c r="E6" s="7"/>
      <c r="F6" s="7"/>
      <c r="G6" s="7"/>
      <c r="H6" s="8"/>
      <c r="I6" s="55"/>
      <c r="K6" s="30" t="s">
        <v>31</v>
      </c>
      <c r="L6" s="27" t="s">
        <v>18</v>
      </c>
      <c r="M6" s="28" t="s">
        <v>19</v>
      </c>
      <c r="N6" s="28" t="s">
        <v>20</v>
      </c>
      <c r="O6" s="29" t="s">
        <v>21</v>
      </c>
      <c r="P6" s="133" t="s">
        <v>60</v>
      </c>
      <c r="Q6" s="134"/>
      <c r="R6" s="128" t="s">
        <v>63</v>
      </c>
      <c r="S6" s="128" t="s">
        <v>64</v>
      </c>
    </row>
    <row r="7" spans="2:25" ht="15.75" thickBot="1" x14ac:dyDescent="0.3">
      <c r="B7" s="59" t="s">
        <v>8</v>
      </c>
      <c r="C7" s="60" t="s">
        <v>44</v>
      </c>
      <c r="D7" s="61">
        <v>1</v>
      </c>
      <c r="E7" s="62">
        <f>25.28+8.12+12.6+3.41+7.1</f>
        <v>56.51</v>
      </c>
      <c r="F7" s="62">
        <v>68.08</v>
      </c>
      <c r="G7" s="62">
        <v>5.35</v>
      </c>
      <c r="H7" s="69">
        <v>0</v>
      </c>
      <c r="I7" s="50">
        <f>2*D7</f>
        <v>2</v>
      </c>
      <c r="K7" s="6" t="s">
        <v>27</v>
      </c>
      <c r="L7" s="117">
        <v>2423.7199999999998</v>
      </c>
      <c r="M7" s="118"/>
      <c r="N7" s="118"/>
      <c r="O7" s="23">
        <v>464</v>
      </c>
      <c r="P7" s="132">
        <f>L7+O7</f>
        <v>2887.72</v>
      </c>
      <c r="Q7" s="135"/>
      <c r="R7" s="50"/>
      <c r="S7" s="50">
        <f>5937+1275</f>
        <v>7212</v>
      </c>
      <c r="U7" t="str">
        <f>K7</f>
        <v>SUBSOL</v>
      </c>
      <c r="W7" s="139">
        <v>2887.72</v>
      </c>
      <c r="X7" s="140">
        <v>2887.72</v>
      </c>
    </row>
    <row r="8" spans="2:25" ht="15.75" thickBot="1" x14ac:dyDescent="0.3">
      <c r="B8" s="64" t="s">
        <v>8</v>
      </c>
      <c r="C8" s="65" t="s">
        <v>43</v>
      </c>
      <c r="D8" s="66">
        <v>2</v>
      </c>
      <c r="E8" s="67">
        <f>E7</f>
        <v>56.51</v>
      </c>
      <c r="F8" s="67">
        <v>68.17</v>
      </c>
      <c r="G8" s="67">
        <v>6.55</v>
      </c>
      <c r="H8" s="70">
        <v>21.28</v>
      </c>
      <c r="I8" s="51">
        <f>2*D8</f>
        <v>4</v>
      </c>
      <c r="K8" s="6" t="s">
        <v>1</v>
      </c>
      <c r="L8" s="92">
        <v>547.25</v>
      </c>
      <c r="M8" s="24">
        <f>L8</f>
        <v>547.25</v>
      </c>
      <c r="N8" s="24">
        <f>L8</f>
        <v>547.25</v>
      </c>
      <c r="O8" s="25">
        <v>168</v>
      </c>
      <c r="P8" s="131">
        <f>SUM(L8:O8)</f>
        <v>1809.75</v>
      </c>
      <c r="Q8" s="136">
        <f>P8</f>
        <v>1809.75</v>
      </c>
      <c r="R8" s="51">
        <v>603.1</v>
      </c>
      <c r="S8" s="51">
        <v>1000</v>
      </c>
      <c r="U8" t="str">
        <f>O6</f>
        <v>agrement</v>
      </c>
      <c r="V8" s="146">
        <f>S8+S9+S10+S11</f>
        <v>17191</v>
      </c>
      <c r="W8" s="141">
        <f>O12</f>
        <v>381.75</v>
      </c>
      <c r="X8" s="142">
        <v>612.48</v>
      </c>
    </row>
    <row r="9" spans="2:25" ht="15.75" thickBot="1" x14ac:dyDescent="0.3">
      <c r="B9" s="64" t="s">
        <v>8</v>
      </c>
      <c r="C9" s="65" t="s">
        <v>42</v>
      </c>
      <c r="D9" s="66">
        <v>1</v>
      </c>
      <c r="E9" s="67">
        <f>1.24+18.2+13.28+8.93+2.96</f>
        <v>44.61</v>
      </c>
      <c r="F9" s="67">
        <v>55.56</v>
      </c>
      <c r="G9" s="67">
        <v>4.32</v>
      </c>
      <c r="H9" s="70">
        <v>0</v>
      </c>
      <c r="I9" s="51">
        <f>2*D9</f>
        <v>2</v>
      </c>
      <c r="K9" s="6" t="s">
        <v>10</v>
      </c>
      <c r="L9" s="44">
        <v>552.92999999999995</v>
      </c>
      <c r="M9" s="24">
        <f>L9</f>
        <v>552.92999999999995</v>
      </c>
      <c r="N9" s="24">
        <f>L9</f>
        <v>552.92999999999995</v>
      </c>
      <c r="O9" s="25">
        <v>213.75</v>
      </c>
      <c r="P9" s="129">
        <f>SUM(L9:O9)</f>
        <v>1872.54</v>
      </c>
      <c r="Q9" s="137">
        <f>P9</f>
        <v>1872.54</v>
      </c>
      <c r="R9" s="51">
        <v>603.1</v>
      </c>
      <c r="S9" s="51">
        <v>5397</v>
      </c>
      <c r="U9" t="str">
        <f>L6</f>
        <v>bloc 1</v>
      </c>
      <c r="V9" s="146"/>
      <c r="W9" s="141">
        <f>L12</f>
        <v>2231.3999999999996</v>
      </c>
      <c r="X9" s="142">
        <f>R13</f>
        <v>2464.17</v>
      </c>
    </row>
    <row r="10" spans="2:25" ht="15.75" thickBot="1" x14ac:dyDescent="0.3">
      <c r="B10" s="64" t="s">
        <v>8</v>
      </c>
      <c r="C10" s="65" t="s">
        <v>41</v>
      </c>
      <c r="D10" s="66">
        <v>2</v>
      </c>
      <c r="E10" s="67">
        <f>1.24+19.88+13.28+10.2+2.96</f>
        <v>47.559999999999995</v>
      </c>
      <c r="F10" s="67">
        <v>59.49</v>
      </c>
      <c r="G10" s="67">
        <v>3.88</v>
      </c>
      <c r="H10" s="70">
        <v>15.44</v>
      </c>
      <c r="I10" s="51">
        <f>2*D10</f>
        <v>4</v>
      </c>
      <c r="K10" s="6" t="s">
        <v>25</v>
      </c>
      <c r="L10" s="31">
        <v>557.52</v>
      </c>
      <c r="M10" s="24">
        <f>L10</f>
        <v>557.52</v>
      </c>
      <c r="N10" s="24">
        <f>M10</f>
        <v>557.52</v>
      </c>
      <c r="O10" s="25"/>
      <c r="P10" s="131">
        <f>SUM(L10:O10)</f>
        <v>1672.56</v>
      </c>
      <c r="Q10" s="136">
        <f>P10</f>
        <v>1672.56</v>
      </c>
      <c r="R10" s="51">
        <v>632.6</v>
      </c>
      <c r="S10" s="51">
        <f>S9</f>
        <v>5397</v>
      </c>
      <c r="U10" t="str">
        <f>M6</f>
        <v>bloc 2</v>
      </c>
      <c r="V10" s="146"/>
      <c r="W10" s="141">
        <f>M12</f>
        <v>2231.3999999999996</v>
      </c>
      <c r="X10" s="142">
        <f>X9</f>
        <v>2464.17</v>
      </c>
    </row>
    <row r="11" spans="2:25" ht="15.75" thickBot="1" x14ac:dyDescent="0.3">
      <c r="B11" s="1" t="s">
        <v>9</v>
      </c>
      <c r="C11" s="2" t="s">
        <v>40</v>
      </c>
      <c r="D11" s="3">
        <v>1</v>
      </c>
      <c r="E11" s="4">
        <f>6.99+3.41+12.6+7.7+25.68+12.64+3.05+2.57+1.31</f>
        <v>75.949999999999989</v>
      </c>
      <c r="F11" s="4">
        <v>94.12</v>
      </c>
      <c r="G11" s="4">
        <f>4.5+3.18</f>
        <v>7.68</v>
      </c>
      <c r="H11" s="5">
        <v>0</v>
      </c>
      <c r="I11" s="51">
        <f>4*D11</f>
        <v>4</v>
      </c>
      <c r="K11" s="6" t="s">
        <v>26</v>
      </c>
      <c r="L11" s="44">
        <v>573.70000000000005</v>
      </c>
      <c r="M11" s="125">
        <f>L11</f>
        <v>573.70000000000005</v>
      </c>
      <c r="N11" s="125">
        <f>M11</f>
        <v>573.70000000000005</v>
      </c>
      <c r="O11" s="25"/>
      <c r="P11" s="131">
        <f>SUM(L11:O11)</f>
        <v>1721.1000000000001</v>
      </c>
      <c r="Q11" s="136">
        <f>P11</f>
        <v>1721.1000000000001</v>
      </c>
      <c r="R11" s="51">
        <v>625.37</v>
      </c>
      <c r="S11" s="51">
        <f>S9</f>
        <v>5397</v>
      </c>
      <c r="U11" t="str">
        <f>N6</f>
        <v>bloc 3</v>
      </c>
      <c r="V11" s="146"/>
      <c r="W11" s="141">
        <f>N12</f>
        <v>2231.3999999999996</v>
      </c>
      <c r="X11" s="142">
        <f>X9</f>
        <v>2464.17</v>
      </c>
    </row>
    <row r="12" spans="2:25" ht="15.75" thickBot="1" x14ac:dyDescent="0.3">
      <c r="B12" s="45" t="s">
        <v>35</v>
      </c>
      <c r="C12" s="46"/>
      <c r="D12" s="47"/>
      <c r="E12" s="48">
        <f>50.39+3.8</f>
        <v>54.19</v>
      </c>
      <c r="F12" s="48">
        <v>74.34</v>
      </c>
      <c r="G12" s="48">
        <v>3.68</v>
      </c>
      <c r="H12" s="49">
        <v>0</v>
      </c>
      <c r="I12" s="52"/>
      <c r="K12" s="6" t="s">
        <v>28</v>
      </c>
      <c r="L12" s="44">
        <f>L8+L9+L10+L11</f>
        <v>2231.3999999999996</v>
      </c>
      <c r="M12" s="125">
        <f>M8+M9+M10+M11</f>
        <v>2231.3999999999996</v>
      </c>
      <c r="N12" s="125">
        <f>N8+N9+N10+N11</f>
        <v>2231.3999999999996</v>
      </c>
      <c r="O12" s="25">
        <f>O8+O9+O10+O11</f>
        <v>381.75</v>
      </c>
      <c r="P12" s="129"/>
      <c r="Q12" s="137"/>
      <c r="R12" s="51"/>
      <c r="S12" s="51"/>
      <c r="W12" s="143">
        <f>SUM(W7:W11)</f>
        <v>9963.6699999999983</v>
      </c>
      <c r="X12" s="144">
        <f>SUM(X7:X11)</f>
        <v>10892.710000000001</v>
      </c>
    </row>
    <row r="13" spans="2:25" ht="15.75" thickBot="1" x14ac:dyDescent="0.3">
      <c r="B13" s="88" t="s">
        <v>51</v>
      </c>
      <c r="C13" s="89"/>
      <c r="D13" s="90"/>
      <c r="E13" s="91">
        <f>$D7*E7+$D8*E8+$D9*E9+$D10*E10+$D11*E11+E12</f>
        <v>439.4</v>
      </c>
      <c r="F13" s="91">
        <f>$D7*F7+$D8*F8+$D9*F9+$D10*F10+$D11*F11+F12</f>
        <v>547.42000000000007</v>
      </c>
      <c r="G13" s="91">
        <f>$D7*G7+$D8*G8+$D9*G9+$D10*G10+$D11*G11+G12</f>
        <v>41.89</v>
      </c>
      <c r="H13" s="91">
        <f>$D7*H7+$D8*H8+$D9*H9+$D10*H10+$D11*H11+H12</f>
        <v>73.44</v>
      </c>
      <c r="I13" s="52">
        <f>SUM(I7:I11)</f>
        <v>16</v>
      </c>
      <c r="K13" s="6" t="s">
        <v>29</v>
      </c>
      <c r="L13" s="117">
        <f>L12+M12+N12+O12+L7+O7</f>
        <v>9963.6699999999983</v>
      </c>
      <c r="M13" s="118"/>
      <c r="N13" s="118"/>
      <c r="O13" s="119"/>
      <c r="P13" s="130">
        <f>SUM(P7:P11)</f>
        <v>9963.67</v>
      </c>
      <c r="Q13" s="138">
        <f>SUM(Q8:Q11)</f>
        <v>7075.9500000000007</v>
      </c>
      <c r="R13" s="130">
        <f>SUM(R7:R11)</f>
        <v>2464.17</v>
      </c>
      <c r="S13" s="130">
        <f>SUM(S7:S11)</f>
        <v>24403</v>
      </c>
      <c r="U13" t="str">
        <f>P6</f>
        <v>TOTAL</v>
      </c>
    </row>
    <row r="14" spans="2:25" ht="15.75" thickBot="1" x14ac:dyDescent="0.3">
      <c r="B14" s="9" t="s">
        <v>10</v>
      </c>
      <c r="C14" s="10"/>
      <c r="D14" s="11">
        <f>SUM(D15:D19)</f>
        <v>7</v>
      </c>
      <c r="E14" s="12"/>
      <c r="F14" s="12"/>
      <c r="G14" s="12"/>
      <c r="H14" s="13"/>
      <c r="I14" s="55"/>
      <c r="W14" t="s">
        <v>57</v>
      </c>
      <c r="X14">
        <v>2278.1799999999998</v>
      </c>
      <c r="Y14" s="20">
        <f>X14/L4</f>
        <v>0.34845212603242581</v>
      </c>
    </row>
    <row r="15" spans="2:25" ht="15.75" thickBot="1" x14ac:dyDescent="0.3">
      <c r="B15" s="59" t="s">
        <v>8</v>
      </c>
      <c r="C15" s="60" t="s">
        <v>44</v>
      </c>
      <c r="D15" s="61">
        <v>1</v>
      </c>
      <c r="E15" s="62">
        <f>25.28+8.12+12.6+3.41+7.1</f>
        <v>56.51</v>
      </c>
      <c r="F15" s="62">
        <v>68.17</v>
      </c>
      <c r="G15" s="62">
        <v>7.26</v>
      </c>
      <c r="H15" s="63">
        <v>0</v>
      </c>
      <c r="I15" s="50">
        <f>2*D15</f>
        <v>2</v>
      </c>
      <c r="W15" t="s">
        <v>58</v>
      </c>
      <c r="X15" s="127">
        <f>599.35*3+O9+15</f>
        <v>2026.8000000000002</v>
      </c>
      <c r="Y15" s="20">
        <f>X15/L4</f>
        <v>0.31000305903946163</v>
      </c>
    </row>
    <row r="16" spans="2:25" x14ac:dyDescent="0.25">
      <c r="B16" s="64" t="s">
        <v>8</v>
      </c>
      <c r="C16" s="65" t="s">
        <v>43</v>
      </c>
      <c r="D16" s="66">
        <v>2</v>
      </c>
      <c r="E16" s="67">
        <f>E15</f>
        <v>56.51</v>
      </c>
      <c r="F16" s="67">
        <v>68.08</v>
      </c>
      <c r="G16" s="67">
        <v>6.27</v>
      </c>
      <c r="H16" s="68">
        <v>0</v>
      </c>
      <c r="I16" s="51">
        <f>2*D16</f>
        <v>4</v>
      </c>
      <c r="K16" s="38" t="s">
        <v>23</v>
      </c>
      <c r="L16" s="39" t="s">
        <v>32</v>
      </c>
      <c r="M16" s="40">
        <f>(L12+M12+N12+O12)/L4</f>
        <v>1.0822805139186293</v>
      </c>
      <c r="N16" s="33" t="s">
        <v>24</v>
      </c>
      <c r="O16" s="34">
        <f>M16*L4</f>
        <v>7075.9499999999989</v>
      </c>
      <c r="P16" s="35" t="s">
        <v>22</v>
      </c>
      <c r="W16" s="17" t="s">
        <v>59</v>
      </c>
      <c r="X16">
        <f>L4-(X14+X15)</f>
        <v>2233.0200000000004</v>
      </c>
      <c r="Y16" s="20">
        <f>X16/L4</f>
        <v>0.34154481492811262</v>
      </c>
    </row>
    <row r="17" spans="1:25" ht="15.75" thickBot="1" x14ac:dyDescent="0.3">
      <c r="B17" s="64" t="s">
        <v>8</v>
      </c>
      <c r="C17" s="65" t="s">
        <v>42</v>
      </c>
      <c r="D17" s="66">
        <v>1</v>
      </c>
      <c r="E17" s="67">
        <f>1.24+18.2+13.27+8.73+2.96</f>
        <v>44.4</v>
      </c>
      <c r="F17" s="67">
        <v>55.56</v>
      </c>
      <c r="G17" s="67">
        <f>4.32+4.5</f>
        <v>8.82</v>
      </c>
      <c r="H17" s="68">
        <v>0</v>
      </c>
      <c r="I17" s="51">
        <f>2*D17</f>
        <v>2</v>
      </c>
      <c r="K17" s="41"/>
      <c r="L17" s="42" t="s">
        <v>33</v>
      </c>
      <c r="M17" s="43">
        <f>X15/L4</f>
        <v>0.31000305903946163</v>
      </c>
      <c r="N17" s="32"/>
      <c r="O17" s="36">
        <f>O16-L12-M12-N12</f>
        <v>381.75</v>
      </c>
      <c r="P17" s="37"/>
    </row>
    <row r="18" spans="1:25" ht="15.75" thickBot="1" x14ac:dyDescent="0.3">
      <c r="B18" s="64" t="s">
        <v>8</v>
      </c>
      <c r="C18" s="65" t="s">
        <v>41</v>
      </c>
      <c r="D18" s="66">
        <v>2</v>
      </c>
      <c r="E18" s="67">
        <f>1.24+19.88+13.28+10.2+2.96</f>
        <v>47.559999999999995</v>
      </c>
      <c r="F18" s="67">
        <v>59.49</v>
      </c>
      <c r="G18" s="67">
        <v>3.6</v>
      </c>
      <c r="H18" s="68">
        <v>0</v>
      </c>
      <c r="I18" s="51">
        <f>2*D18</f>
        <v>4</v>
      </c>
      <c r="L18" s="21"/>
      <c r="M18" s="22"/>
      <c r="X18">
        <f>SUM(X14:X16)</f>
        <v>6538</v>
      </c>
      <c r="Y18" s="20">
        <f>SUM(Y14:Y16)</f>
        <v>1</v>
      </c>
    </row>
    <row r="19" spans="1:25" x14ac:dyDescent="0.25">
      <c r="B19" s="1" t="s">
        <v>9</v>
      </c>
      <c r="C19" s="2" t="s">
        <v>40</v>
      </c>
      <c r="D19" s="3">
        <v>1</v>
      </c>
      <c r="E19" s="4">
        <f>6.99+3.75+12.6+7.7+25.68+12.64+3.05+2.57+1.31</f>
        <v>76.289999999999992</v>
      </c>
      <c r="F19" s="4">
        <v>94.13</v>
      </c>
      <c r="G19" s="4">
        <f>3.18+4.5</f>
        <v>7.68</v>
      </c>
      <c r="H19" s="57">
        <v>0</v>
      </c>
      <c r="I19" s="51">
        <f>4*D19</f>
        <v>4</v>
      </c>
      <c r="K19" s="38" t="s">
        <v>24</v>
      </c>
      <c r="L19" s="39" t="s">
        <v>32</v>
      </c>
      <c r="M19" s="40">
        <v>1.1000000000000001</v>
      </c>
    </row>
    <row r="20" spans="1:25" ht="15.75" thickBot="1" x14ac:dyDescent="0.3">
      <c r="B20" s="45" t="s">
        <v>35</v>
      </c>
      <c r="C20" s="46"/>
      <c r="D20" s="47"/>
      <c r="E20" s="48">
        <v>60.22</v>
      </c>
      <c r="F20" s="48">
        <v>80.02</v>
      </c>
      <c r="G20" s="48">
        <v>0</v>
      </c>
      <c r="H20" s="58">
        <v>0</v>
      </c>
      <c r="I20" s="52"/>
      <c r="K20" s="41"/>
      <c r="L20" s="42" t="s">
        <v>33</v>
      </c>
      <c r="M20" s="43">
        <v>0.35</v>
      </c>
      <c r="W20" t="s">
        <v>21</v>
      </c>
      <c r="X20" s="126">
        <f>205.3+228.75+178.43</f>
        <v>612.48</v>
      </c>
    </row>
    <row r="21" spans="1:25" ht="15.75" thickBot="1" x14ac:dyDescent="0.3">
      <c r="B21" s="88" t="s">
        <v>51</v>
      </c>
      <c r="C21" s="89"/>
      <c r="D21" s="90"/>
      <c r="E21" s="91">
        <f>$D15*E15+$D16*E16+$D17*E17+$D18*E18+$D19*E19+E20</f>
        <v>445.56000000000006</v>
      </c>
      <c r="F21" s="91">
        <f>$D15*F15+$D16*F16+$D17*F17+$D18*F18+$D19*F19+F20</f>
        <v>553.02</v>
      </c>
      <c r="G21" s="91">
        <f>$D15*G15+$D16*G16+$D17*G17+$D18*G18+$D19*G19+G20</f>
        <v>43.5</v>
      </c>
      <c r="H21" s="91">
        <f>$D15*H15+$D16*H16+$D17*H17+$D18*H18+$D19*H19+H20</f>
        <v>0</v>
      </c>
      <c r="I21" s="52">
        <f>SUM(I15:I19)</f>
        <v>16</v>
      </c>
      <c r="K21" s="93"/>
      <c r="L21" s="94"/>
      <c r="M21" s="95"/>
      <c r="W21" t="s">
        <v>61</v>
      </c>
      <c r="X21">
        <v>603.1</v>
      </c>
    </row>
    <row r="22" spans="1:25" ht="15.75" thickBot="1" x14ac:dyDescent="0.3">
      <c r="B22" s="9" t="s">
        <v>11</v>
      </c>
      <c r="C22" s="10"/>
      <c r="D22" s="11">
        <f>SUM(D23:D29)</f>
        <v>11</v>
      </c>
      <c r="E22" s="12"/>
      <c r="F22" s="12"/>
      <c r="G22" s="12"/>
      <c r="H22" s="13"/>
      <c r="I22" s="55"/>
      <c r="W22" t="s">
        <v>62</v>
      </c>
      <c r="X22">
        <f>E32*2.75</f>
        <v>5397.6724999999997</v>
      </c>
    </row>
    <row r="23" spans="1:25" x14ac:dyDescent="0.25">
      <c r="A23" s="15"/>
      <c r="B23" s="59" t="s">
        <v>8</v>
      </c>
      <c r="C23" s="60" t="s">
        <v>34</v>
      </c>
      <c r="D23" s="61">
        <v>2</v>
      </c>
      <c r="E23" s="62">
        <f>27.07+1.49+2.05+13.97+6.71+5.96</f>
        <v>57.25</v>
      </c>
      <c r="F23" s="62">
        <f>34.98+39.21</f>
        <v>74.19</v>
      </c>
      <c r="G23" s="62">
        <f>5.03+5.35</f>
        <v>10.379999999999999</v>
      </c>
      <c r="H23" s="63">
        <v>0</v>
      </c>
      <c r="I23" s="50">
        <f>2*D23</f>
        <v>4</v>
      </c>
    </row>
    <row r="24" spans="1:25" x14ac:dyDescent="0.25">
      <c r="A24" s="15"/>
      <c r="B24" s="64" t="s">
        <v>8</v>
      </c>
      <c r="C24" s="65" t="s">
        <v>38</v>
      </c>
      <c r="D24" s="66">
        <v>2</v>
      </c>
      <c r="E24" s="67">
        <f>27.07+1.49+2.05+13.97+6.71+5.96</f>
        <v>57.25</v>
      </c>
      <c r="F24" s="67">
        <f>34.98+39.21</f>
        <v>74.19</v>
      </c>
      <c r="G24" s="67">
        <f>2.25+2.6</f>
        <v>4.8499999999999996</v>
      </c>
      <c r="H24" s="68">
        <v>0</v>
      </c>
      <c r="I24" s="51">
        <f>2*D24</f>
        <v>4</v>
      </c>
    </row>
    <row r="25" spans="1:25" x14ac:dyDescent="0.25">
      <c r="A25" s="15"/>
      <c r="B25" s="1" t="s">
        <v>9</v>
      </c>
      <c r="C25" s="2" t="s">
        <v>39</v>
      </c>
      <c r="D25" s="3">
        <v>1</v>
      </c>
      <c r="E25" s="4">
        <f>27.07+1.49+2.2+13.97+6.71+5.96+14.72+4.37+3.95</f>
        <v>80.440000000000012</v>
      </c>
      <c r="F25" s="4">
        <f>34.86+66.47</f>
        <v>101.33</v>
      </c>
      <c r="G25" s="4">
        <f>5.45+5.74</f>
        <v>11.190000000000001</v>
      </c>
      <c r="H25" s="57">
        <v>0</v>
      </c>
      <c r="I25" s="51">
        <f>4*D25</f>
        <v>4</v>
      </c>
    </row>
    <row r="26" spans="1:25" x14ac:dyDescent="0.25">
      <c r="A26" s="15"/>
      <c r="B26" s="1" t="s">
        <v>9</v>
      </c>
      <c r="C26" s="2" t="s">
        <v>55</v>
      </c>
      <c r="D26" s="3">
        <v>2</v>
      </c>
      <c r="E26" s="4">
        <f>27.07+1.49+2.2+13.97+6.71+5.96+14.72+4.51+3.82</f>
        <v>80.45</v>
      </c>
      <c r="F26" s="4">
        <f>34.95+66.47</f>
        <v>101.42</v>
      </c>
      <c r="G26" s="4">
        <f>2.8+3.29</f>
        <v>6.09</v>
      </c>
      <c r="H26" s="57">
        <v>0</v>
      </c>
      <c r="I26" s="51">
        <f>4*D26</f>
        <v>8</v>
      </c>
    </row>
    <row r="27" spans="1:25" x14ac:dyDescent="0.25">
      <c r="A27" s="15"/>
      <c r="B27" s="1" t="s">
        <v>9</v>
      </c>
      <c r="C27" s="2" t="s">
        <v>45</v>
      </c>
      <c r="D27" s="3">
        <v>1</v>
      </c>
      <c r="E27" s="4">
        <f>21.89+12.83+8.28+2.89+0.8+15.75+4.03+5.69</f>
        <v>72.16</v>
      </c>
      <c r="F27" s="4">
        <f>56.96+37.04</f>
        <v>94</v>
      </c>
      <c r="G27" s="4">
        <f>7.98+4.35</f>
        <v>12.33</v>
      </c>
      <c r="H27" s="57">
        <v>0</v>
      </c>
      <c r="I27" s="51">
        <f>4*D27</f>
        <v>4</v>
      </c>
    </row>
    <row r="28" spans="1:25" x14ac:dyDescent="0.25">
      <c r="A28" s="15"/>
      <c r="B28" s="1" t="s">
        <v>9</v>
      </c>
      <c r="C28" s="2" t="s">
        <v>46</v>
      </c>
      <c r="D28" s="3">
        <v>2</v>
      </c>
      <c r="E28" s="4">
        <f>21.89+12.83+9.75+2.89+0.8+15.75+4.03+5.69</f>
        <v>73.63</v>
      </c>
      <c r="F28" s="4">
        <f>59.35+37.04</f>
        <v>96.39</v>
      </c>
      <c r="G28" s="4">
        <f>3.63</f>
        <v>3.63</v>
      </c>
      <c r="H28" s="57">
        <v>0</v>
      </c>
      <c r="I28" s="51">
        <f>4*D28</f>
        <v>8</v>
      </c>
    </row>
    <row r="29" spans="1:25" x14ac:dyDescent="0.25">
      <c r="A29" s="15"/>
      <c r="B29" s="72" t="s">
        <v>47</v>
      </c>
      <c r="C29" s="73" t="s">
        <v>48</v>
      </c>
      <c r="D29" s="74">
        <v>1</v>
      </c>
      <c r="E29" s="75">
        <f>23.01+3.33+6.12+10.4+2.89+0.8+14.95+4.37+3.68+4.03+5.69+15.75</f>
        <v>95.02000000000001</v>
      </c>
      <c r="F29" s="75">
        <f>57.14+62.29</f>
        <v>119.43</v>
      </c>
      <c r="G29" s="75">
        <f>7.8+4.35+4.5</f>
        <v>16.649999999999999</v>
      </c>
      <c r="H29" s="76">
        <v>0</v>
      </c>
      <c r="I29" s="51">
        <f>6*D29</f>
        <v>6</v>
      </c>
    </row>
    <row r="30" spans="1:25" x14ac:dyDescent="0.25">
      <c r="B30" s="96" t="s">
        <v>35</v>
      </c>
      <c r="C30" s="97"/>
      <c r="D30" s="98"/>
      <c r="E30" s="99">
        <f>58.15+31.17</f>
        <v>89.32</v>
      </c>
      <c r="F30" s="99">
        <f>80.02+41.87</f>
        <v>121.88999999999999</v>
      </c>
      <c r="G30" s="99"/>
      <c r="H30" s="100">
        <v>0</v>
      </c>
      <c r="I30" s="51"/>
    </row>
    <row r="31" spans="1:25" ht="15.75" thickBot="1" x14ac:dyDescent="0.3">
      <c r="B31" s="101" t="s">
        <v>51</v>
      </c>
      <c r="C31" s="102"/>
      <c r="D31" s="103"/>
      <c r="E31" s="104">
        <f>$D25*E25+$D26*E26+$D27*E27+$D28*E28+$D29*E29+E30+$D23*E23+$D24*E24</f>
        <v>874.09999999999991</v>
      </c>
      <c r="F31" s="104">
        <f>$D25*F25+$D26*F26+$D27*F27+$D28*F28+$D29*F29+F30+$D23*F23+$D24*F24</f>
        <v>1129.0300000000002</v>
      </c>
      <c r="G31" s="104">
        <f>$D25*G25+$D26*G26+$D27*G27+$D28*G28+$D29*G29+G30+$D23*G23+$D24*G24</f>
        <v>90.070000000000007</v>
      </c>
      <c r="H31" s="104">
        <f>$D25*H25+$D26*H26+$D27*H27+$D28*H28+$D29*H29+H30</f>
        <v>0</v>
      </c>
      <c r="I31" s="52">
        <f>SUM(I23:I29)</f>
        <v>38</v>
      </c>
      <c r="L31" s="126"/>
    </row>
    <row r="32" spans="1:25" ht="15.75" thickBot="1" x14ac:dyDescent="0.3">
      <c r="E32" s="87">
        <f>E13+E21+E30+E31+E20+E12</f>
        <v>1962.79</v>
      </c>
    </row>
    <row r="33" spans="2:9" x14ac:dyDescent="0.25">
      <c r="B33" s="14" t="s">
        <v>13</v>
      </c>
      <c r="C33" s="15"/>
      <c r="D33" s="16">
        <f>D6+D14+D22</f>
        <v>25</v>
      </c>
      <c r="G33" s="123" t="s">
        <v>56</v>
      </c>
      <c r="H33" s="77" t="s">
        <v>16</v>
      </c>
      <c r="I33" s="78">
        <f>I13+I21+I31</f>
        <v>70</v>
      </c>
    </row>
    <row r="34" spans="2:9" ht="15.75" thickBot="1" x14ac:dyDescent="0.3">
      <c r="B34" s="17" t="s">
        <v>12</v>
      </c>
      <c r="C34" s="18"/>
      <c r="D34" s="19">
        <f>D33*3</f>
        <v>75</v>
      </c>
      <c r="G34" s="124"/>
      <c r="H34" s="80" t="s">
        <v>17</v>
      </c>
      <c r="I34" s="81">
        <f>I33*3</f>
        <v>210</v>
      </c>
    </row>
    <row r="35" spans="2:9" ht="15.75" thickBot="1" x14ac:dyDescent="0.3">
      <c r="E35" s="87"/>
      <c r="F35" s="87"/>
      <c r="G35" s="79" t="s">
        <v>49</v>
      </c>
      <c r="H35" s="80" t="s">
        <v>17</v>
      </c>
      <c r="I35" s="81">
        <f>99+128</f>
        <v>227</v>
      </c>
    </row>
    <row r="36" spans="2:9" ht="15.75" thickBot="1" x14ac:dyDescent="0.3">
      <c r="D36" s="145"/>
    </row>
    <row r="37" spans="2:9" ht="15.75" thickBot="1" x14ac:dyDescent="0.3">
      <c r="G37" s="115" t="s">
        <v>54</v>
      </c>
      <c r="H37" s="116"/>
      <c r="I37" s="84">
        <f>1.5*D34</f>
        <v>112.5</v>
      </c>
    </row>
    <row r="38" spans="2:9" ht="15" customHeight="1" x14ac:dyDescent="0.25">
      <c r="G38" s="120" t="s">
        <v>50</v>
      </c>
      <c r="H38" s="56" t="s">
        <v>14</v>
      </c>
      <c r="I38" s="82">
        <v>88</v>
      </c>
    </row>
    <row r="39" spans="2:9" ht="15.75" thickBot="1" x14ac:dyDescent="0.3">
      <c r="G39" s="121"/>
      <c r="H39" s="36" t="s">
        <v>15</v>
      </c>
      <c r="I39" s="83">
        <v>30</v>
      </c>
    </row>
    <row r="40" spans="2:9" ht="15.75" thickBot="1" x14ac:dyDescent="0.3">
      <c r="G40" s="122"/>
      <c r="H40" s="105" t="s">
        <v>53</v>
      </c>
      <c r="I40" s="84">
        <f>I38+I39</f>
        <v>118</v>
      </c>
    </row>
  </sheetData>
  <mergeCells count="11">
    <mergeCell ref="P6:Q6"/>
    <mergeCell ref="G33:G34"/>
    <mergeCell ref="G37:H37"/>
    <mergeCell ref="L7:N7"/>
    <mergeCell ref="L13:O13"/>
    <mergeCell ref="G38:G40"/>
    <mergeCell ref="B2:O2"/>
    <mergeCell ref="B4:B5"/>
    <mergeCell ref="C4:C5"/>
    <mergeCell ref="D4:D5"/>
    <mergeCell ref="I4:I5"/>
  </mergeCells>
  <phoneticPr fontId="3" type="noConversion"/>
  <pageMargins left="0.39370078740157483" right="0.39370078740157483" top="0.39370078740157483" bottom="0.39370078740157483" header="0.31496062992125984" footer="0.31496062992125984"/>
  <pageSetup paperSize="8" fitToWidth="0" orientation="landscape" r:id="rId1"/>
  <ignoredErrors>
    <ignoredError sqref="G26 F27 Q13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Claudia Lorentz</dc:creator>
  <cp:lastModifiedBy>Sma</cp:lastModifiedBy>
  <cp:lastPrinted>2022-03-01T14:04:23Z</cp:lastPrinted>
  <dcterms:created xsi:type="dcterms:W3CDTF">2021-07-03T06:16:10Z</dcterms:created>
  <dcterms:modified xsi:type="dcterms:W3CDTF">2022-03-01T14:04:26Z</dcterms:modified>
</cp:coreProperties>
</file>